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2120" windowHeight="8250" activeTab="2"/>
  </bookViews>
  <sheets>
    <sheet name="pyg" sheetId="1" r:id="rId1"/>
    <sheet name="mb" sheetId="2" r:id="rId2"/>
    <sheet name="gmroi" sheetId="3" r:id="rId3"/>
  </sheets>
  <definedNames>
    <definedName name="A_impresión_IM">#REF!</definedName>
    <definedName name="_xlnm.Print_Area" localSheetId="1">'mb'!$A$1:$K$23</definedName>
    <definedName name="_xlnm.Print_Area" localSheetId="0">'pyg'!#REF!</definedName>
  </definedNames>
  <calcPr fullCalcOnLoad="1"/>
</workbook>
</file>

<file path=xl/sharedStrings.xml><?xml version="1.0" encoding="utf-8"?>
<sst xmlns="http://schemas.openxmlformats.org/spreadsheetml/2006/main" count="48" uniqueCount="43">
  <si>
    <t>ESTADO RESULTADOS</t>
  </si>
  <si>
    <t>01 R</t>
  </si>
  <si>
    <t>02 R</t>
  </si>
  <si>
    <t>% Incr.</t>
  </si>
  <si>
    <t>$ Var.</t>
  </si>
  <si>
    <t>VENTAS BRUTAS</t>
  </si>
  <si>
    <t>% vn</t>
  </si>
  <si>
    <t xml:space="preserve"> - Devoluciones</t>
  </si>
  <si>
    <t xml:space="preserve"> - Descuentos</t>
  </si>
  <si>
    <t>VENTAS NETAS</t>
  </si>
  <si>
    <t xml:space="preserve"> - CMV</t>
  </si>
  <si>
    <t>UTILIDAD BRUTA</t>
  </si>
  <si>
    <t xml:space="preserve"> - Gasto Ventas</t>
  </si>
  <si>
    <t xml:space="preserve"> -  Gasto Admon</t>
  </si>
  <si>
    <t>UTILIDAD OPERATIVA</t>
  </si>
  <si>
    <t xml:space="preserve">  - Gasto Financiero</t>
  </si>
  <si>
    <t xml:space="preserve"> +  Otros Ingresos</t>
  </si>
  <si>
    <t xml:space="preserve">  -  Otros Egresos</t>
  </si>
  <si>
    <t>UAI</t>
  </si>
  <si>
    <t xml:space="preserve"> -  Impuestos</t>
  </si>
  <si>
    <t>UTILIDAD NETA</t>
  </si>
  <si>
    <t>% Part</t>
  </si>
  <si>
    <t>Población</t>
  </si>
  <si>
    <t>PIB (%Incr.)</t>
  </si>
  <si>
    <t>Inflación</t>
  </si>
  <si>
    <t>TdC FIN</t>
  </si>
  <si>
    <t>TdC PROMEDIO</t>
  </si>
  <si>
    <t>VOLUMEN ( ton )</t>
  </si>
  <si>
    <t>PRECIO ( $ / ton )</t>
  </si>
  <si>
    <t>INGRESO NETO</t>
  </si>
  <si>
    <t>Linea Aseo</t>
  </si>
  <si>
    <t>Perecederos</t>
  </si>
  <si>
    <t>Abarrotes</t>
  </si>
  <si>
    <t>MARGEN</t>
  </si>
  <si>
    <t>INVENT. (Días)</t>
  </si>
  <si>
    <t>GMROI</t>
  </si>
  <si>
    <t>Galletas</t>
  </si>
  <si>
    <t>% Ventas</t>
  </si>
  <si>
    <t>TOTAL</t>
  </si>
  <si>
    <t>Aseo</t>
  </si>
  <si>
    <t>FruVer</t>
  </si>
  <si>
    <t>Licores</t>
  </si>
  <si>
    <t>Otros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</si>
</sst>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\-mmm\-yy"/>
    <numFmt numFmtId="165" formatCode="0.0%"/>
    <numFmt numFmtId="166" formatCode="0.000%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&quot;C$&quot;#,##0_);\(&quot;C$&quot;#,##0\)"/>
    <numFmt numFmtId="184" formatCode="&quot;C$&quot;#,##0_);[Red]\(&quot;C$&quot;#,##0\)"/>
    <numFmt numFmtId="185" formatCode="&quot;C$&quot;#,##0.00_);\(&quot;C$&quot;#,##0.00\)"/>
    <numFmt numFmtId="186" formatCode="&quot;C$&quot;#,##0.00_);[Red]\(&quot;C$&quot;#,##0.00\)"/>
    <numFmt numFmtId="187" formatCode="_(&quot;C$&quot;* #,##0_);_(&quot;C$&quot;* \(#,##0\);_(&quot;C$&quot;* &quot;-&quot;_);_(@_)"/>
    <numFmt numFmtId="188" formatCode="_(* #,##0_);_(* \(#,##0\);_(* &quot;-&quot;_);_(@_)"/>
    <numFmt numFmtId="189" formatCode="_(&quot;C$&quot;* #,##0.00_);_(&quot;C$&quot;* \(#,##0.00\);_(&quot;C$&quot;* &quot;-&quot;??_);_(@_)"/>
    <numFmt numFmtId="190" formatCode="_(* #,##0.00_);_(* \(#,##0.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.0"/>
    <numFmt numFmtId="198" formatCode="d/m/yyyy"/>
    <numFmt numFmtId="199" formatCode="0.0"/>
    <numFmt numFmtId="200" formatCode="#,##0.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0.000000000"/>
    <numFmt numFmtId="210" formatCode="\$#,##0"/>
    <numFmt numFmtId="211" formatCode="\$#,##0.00"/>
    <numFmt numFmtId="212" formatCode="#,##0.0_);\(#,##0.0\)"/>
    <numFmt numFmtId="213" formatCode="#,##0.00000_);\(#,##0.00000\)"/>
    <numFmt numFmtId="214" formatCode="0.0000_)"/>
    <numFmt numFmtId="215" formatCode="_ [$€-2]\ * #,##0.00_ ;_ [$€-2]\ * \-#,##0.00_ ;_ [$€-2]\ * &quot;-&quot;??_ "/>
    <numFmt numFmtId="216" formatCode="d\-mmm"/>
    <numFmt numFmtId="217" formatCode="&quot;$&quot;\ #,##0.00"/>
    <numFmt numFmtId="218" formatCode="&quot;$&quot;\ #,##0"/>
    <numFmt numFmtId="219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3" fillId="0" borderId="0" applyBorder="0" applyAlignment="0">
      <protection/>
    </xf>
  </cellStyleXfs>
  <cellXfs count="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65" fontId="0" fillId="0" borderId="5" xfId="22" applyNumberFormat="1" applyFont="1" applyBorder="1" applyAlignment="1">
      <alignment/>
    </xf>
    <xf numFmtId="3" fontId="0" fillId="0" borderId="6" xfId="22" applyNumberFormat="1" applyFont="1" applyBorder="1" applyAlignment="1">
      <alignment/>
    </xf>
    <xf numFmtId="165" fontId="0" fillId="0" borderId="0" xfId="22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165" fontId="0" fillId="0" borderId="9" xfId="22" applyNumberFormat="1" applyFont="1" applyBorder="1" applyAlignment="1">
      <alignment/>
    </xf>
    <xf numFmtId="165" fontId="0" fillId="0" borderId="10" xfId="22" applyNumberFormat="1" applyFont="1" applyBorder="1" applyAlignment="1">
      <alignment/>
    </xf>
    <xf numFmtId="165" fontId="0" fillId="0" borderId="11" xfId="22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5" fontId="0" fillId="0" borderId="13" xfId="22" applyNumberFormat="1" applyFont="1" applyBorder="1" applyAlignment="1">
      <alignment/>
    </xf>
    <xf numFmtId="3" fontId="0" fillId="0" borderId="14" xfId="22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65" fontId="0" fillId="0" borderId="16" xfId="0" applyNumberFormat="1" applyFont="1" applyBorder="1" applyAlignment="1">
      <alignment/>
    </xf>
    <xf numFmtId="165" fontId="0" fillId="0" borderId="17" xfId="22" applyNumberFormat="1" applyFont="1" applyBorder="1" applyAlignment="1">
      <alignment/>
    </xf>
    <xf numFmtId="165" fontId="0" fillId="0" borderId="18" xfId="22" applyNumberFormat="1" applyFont="1" applyBorder="1" applyAlignment="1">
      <alignment/>
    </xf>
    <xf numFmtId="0" fontId="4" fillId="3" borderId="3" xfId="0" applyFont="1" applyFill="1" applyBorder="1" applyAlignment="1">
      <alignment/>
    </xf>
    <xf numFmtId="3" fontId="4" fillId="3" borderId="4" xfId="0" applyNumberFormat="1" applyFont="1" applyFill="1" applyBorder="1" applyAlignment="1">
      <alignment horizontal="left"/>
    </xf>
    <xf numFmtId="165" fontId="4" fillId="3" borderId="5" xfId="22" applyNumberFormat="1" applyFont="1" applyFill="1" applyBorder="1" applyAlignment="1">
      <alignment horizontal="left"/>
    </xf>
    <xf numFmtId="3" fontId="4" fillId="3" borderId="6" xfId="22" applyNumberFormat="1" applyFont="1" applyFill="1" applyBorder="1" applyAlignment="1">
      <alignment horizontal="left"/>
    </xf>
    <xf numFmtId="0" fontId="4" fillId="3" borderId="19" xfId="0" applyFont="1" applyFill="1" applyBorder="1" applyAlignment="1">
      <alignment horizontal="right"/>
    </xf>
    <xf numFmtId="165" fontId="4" fillId="3" borderId="16" xfId="0" applyNumberFormat="1" applyFont="1" applyFill="1" applyBorder="1" applyAlignment="1">
      <alignment horizontal="left"/>
    </xf>
    <xf numFmtId="165" fontId="4" fillId="3" borderId="17" xfId="22" applyNumberFormat="1" applyFont="1" applyFill="1" applyBorder="1" applyAlignment="1">
      <alignment horizontal="left"/>
    </xf>
    <xf numFmtId="165" fontId="4" fillId="3" borderId="18" xfId="22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65" fontId="4" fillId="0" borderId="5" xfId="22" applyNumberFormat="1" applyFont="1" applyFill="1" applyBorder="1" applyAlignment="1">
      <alignment/>
    </xf>
    <xf numFmtId="3" fontId="4" fillId="0" borderId="6" xfId="22" applyNumberFormat="1" applyFont="1" applyFill="1" applyBorder="1" applyAlignment="1">
      <alignment/>
    </xf>
    <xf numFmtId="165" fontId="4" fillId="0" borderId="0" xfId="22" applyNumberFormat="1" applyFont="1" applyFill="1" applyBorder="1" applyAlignment="1">
      <alignment/>
    </xf>
    <xf numFmtId="0" fontId="4" fillId="0" borderId="19" xfId="0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165" fontId="4" fillId="0" borderId="17" xfId="22" applyNumberFormat="1" applyFont="1" applyBorder="1" applyAlignment="1">
      <alignment/>
    </xf>
    <xf numFmtId="165" fontId="4" fillId="0" borderId="18" xfId="22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4" xfId="22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3" borderId="1" xfId="0" applyFont="1" applyFill="1" applyBorder="1" applyAlignment="1">
      <alignment/>
    </xf>
    <xf numFmtId="165" fontId="0" fillId="0" borderId="0" xfId="22" applyNumberFormat="1" applyAlignment="1">
      <alignment/>
    </xf>
    <xf numFmtId="0" fontId="0" fillId="4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165" fontId="0" fillId="0" borderId="7" xfId="22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5" fontId="0" fillId="0" borderId="15" xfId="22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5" fontId="0" fillId="0" borderId="20" xfId="22" applyNumberFormat="1" applyFont="1" applyBorder="1" applyAlignment="1">
      <alignment/>
    </xf>
    <xf numFmtId="3" fontId="0" fillId="0" borderId="18" xfId="22" applyNumberFormat="1" applyFont="1" applyBorder="1" applyAlignment="1">
      <alignment/>
    </xf>
    <xf numFmtId="165" fontId="0" fillId="0" borderId="6" xfId="22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21" xfId="0" applyNumberFormat="1" applyFont="1" applyBorder="1" applyAlignment="1">
      <alignment/>
    </xf>
    <xf numFmtId="165" fontId="4" fillId="0" borderId="22" xfId="22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65" fontId="4" fillId="0" borderId="23" xfId="22" applyNumberFormat="1" applyFont="1" applyBorder="1" applyAlignment="1">
      <alignment/>
    </xf>
    <xf numFmtId="3" fontId="4" fillId="0" borderId="22" xfId="2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4" fillId="3" borderId="21" xfId="0" applyNumberFormat="1" applyFont="1" applyFill="1" applyBorder="1" applyAlignment="1">
      <alignment/>
    </xf>
    <xf numFmtId="165" fontId="4" fillId="3" borderId="22" xfId="22" applyNumberFormat="1" applyFont="1" applyFill="1" applyBorder="1" applyAlignment="1">
      <alignment/>
    </xf>
    <xf numFmtId="3" fontId="4" fillId="3" borderId="23" xfId="0" applyNumberFormat="1" applyFont="1" applyFill="1" applyBorder="1" applyAlignment="1">
      <alignment/>
    </xf>
    <xf numFmtId="165" fontId="4" fillId="3" borderId="23" xfId="22" applyNumberFormat="1" applyFont="1" applyFill="1" applyBorder="1" applyAlignment="1">
      <alignment/>
    </xf>
    <xf numFmtId="3" fontId="4" fillId="3" borderId="22" xfId="22" applyNumberFormat="1" applyFont="1" applyFill="1" applyBorder="1" applyAlignment="1">
      <alignment/>
    </xf>
    <xf numFmtId="9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/>
    </xf>
    <xf numFmtId="9" fontId="0" fillId="0" borderId="0" xfId="0" applyNumberFormat="1" applyAlignment="1">
      <alignment/>
    </xf>
    <xf numFmtId="9" fontId="4" fillId="0" borderId="0" xfId="22" applyFont="1" applyAlignment="1">
      <alignment horizontal="center"/>
    </xf>
    <xf numFmtId="3" fontId="4" fillId="0" borderId="24" xfId="22" applyNumberFormat="1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proyeccion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workbookViewId="0" topLeftCell="A13">
      <selection activeCell="F21" sqref="F21"/>
    </sheetView>
  </sheetViews>
  <sheetFormatPr defaultColWidth="11.421875" defaultRowHeight="12.75"/>
  <cols>
    <col min="1" max="1" width="2.57421875" style="0" customWidth="1"/>
    <col min="2" max="2" width="33.00390625" style="0" customWidth="1"/>
    <col min="3" max="6" width="12.28125" style="0" customWidth="1"/>
  </cols>
  <sheetData>
    <row r="1" ht="4.5" customHeight="1"/>
    <row r="2" spans="2:6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ht="4.5" customHeight="1"/>
    <row r="4" spans="2:6" s="5" customFormat="1" ht="12.75">
      <c r="B4" s="6" t="s">
        <v>5</v>
      </c>
      <c r="C4" s="7">
        <v>250000</v>
      </c>
      <c r="D4" s="8">
        <f>+C4*1.155</f>
        <v>288750</v>
      </c>
      <c r="E4" s="9">
        <f>+D4/C4-1</f>
        <v>0.15500000000000003</v>
      </c>
      <c r="F4" s="10">
        <f aca="true" t="shared" si="0" ref="F4:F10">+D4-C4</f>
        <v>38750</v>
      </c>
    </row>
    <row r="5" spans="2:6" s="5" customFormat="1" ht="12.75">
      <c r="B5" s="14" t="s">
        <v>6</v>
      </c>
      <c r="C5" s="15">
        <f>+C4/C$10</f>
        <v>1.0508617065994115</v>
      </c>
      <c r="D5" s="15">
        <f>+D4/D$10</f>
        <v>1.0514517681322175</v>
      </c>
      <c r="E5" s="16"/>
      <c r="F5" s="17">
        <f t="shared" si="0"/>
        <v>0.0005900615328060521</v>
      </c>
    </row>
    <row r="6" spans="2:6" s="5" customFormat="1" ht="12.75">
      <c r="B6" s="18" t="s">
        <v>7</v>
      </c>
      <c r="C6" s="19">
        <v>3500</v>
      </c>
      <c r="D6" s="20">
        <f>+C6*1.145</f>
        <v>4007.5</v>
      </c>
      <c r="E6" s="21">
        <f>+D6/C6-1</f>
        <v>0.14500000000000002</v>
      </c>
      <c r="F6" s="22">
        <f t="shared" si="0"/>
        <v>507.5</v>
      </c>
    </row>
    <row r="7" spans="2:6" s="5" customFormat="1" ht="12.75">
      <c r="B7" s="14" t="str">
        <f>+B$5</f>
        <v>% vn</v>
      </c>
      <c r="C7" s="15">
        <f>+C6/C$10</f>
        <v>0.014712063892391762</v>
      </c>
      <c r="D7" s="15">
        <f>+D6/D$10</f>
        <v>0.014592876054683504</v>
      </c>
      <c r="E7" s="16"/>
      <c r="F7" s="17">
        <f t="shared" si="0"/>
        <v>-0.00011918783770825843</v>
      </c>
    </row>
    <row r="8" spans="2:6" s="5" customFormat="1" ht="12.75">
      <c r="B8" s="18" t="s">
        <v>8</v>
      </c>
      <c r="C8" s="19">
        <v>8600</v>
      </c>
      <c r="D8" s="20">
        <f>+C8*1.177</f>
        <v>10122.2</v>
      </c>
      <c r="E8" s="21">
        <f>+D8/C8-1</f>
        <v>0.17700000000000005</v>
      </c>
      <c r="F8" s="22">
        <f t="shared" si="0"/>
        <v>1522.2000000000007</v>
      </c>
    </row>
    <row r="9" spans="2:6" s="5" customFormat="1" ht="12.75">
      <c r="B9" s="25" t="str">
        <f>+B$5</f>
        <v>% vn</v>
      </c>
      <c r="C9" s="26">
        <f>+C8/C$10</f>
        <v>0.03614964270701976</v>
      </c>
      <c r="D9" s="26">
        <f>+D8/D$10</f>
        <v>0.03685889207753397</v>
      </c>
      <c r="E9" s="27"/>
      <c r="F9" s="28">
        <f t="shared" si="0"/>
        <v>0.0007092493705142117</v>
      </c>
    </row>
    <row r="10" spans="2:6" s="5" customFormat="1" ht="12.75">
      <c r="B10" s="29" t="s">
        <v>9</v>
      </c>
      <c r="C10" s="30">
        <f>+C4-C6-C8</f>
        <v>237900</v>
      </c>
      <c r="D10" s="30">
        <f>+D4-D6-D8</f>
        <v>274620.3</v>
      </c>
      <c r="E10" s="31">
        <f>+D10/C10-1</f>
        <v>0.15435182849936946</v>
      </c>
      <c r="F10" s="32">
        <f t="shared" si="0"/>
        <v>36720.29999999999</v>
      </c>
    </row>
    <row r="11" spans="2:6" s="5" customFormat="1" ht="12.75">
      <c r="B11" s="33" t="str">
        <f>+B$5</f>
        <v>% vn</v>
      </c>
      <c r="C11" s="34">
        <f>+C10/C$10</f>
        <v>1</v>
      </c>
      <c r="D11" s="34">
        <f>+D10/D$10</f>
        <v>1</v>
      </c>
      <c r="E11" s="35"/>
      <c r="F11" s="36"/>
    </row>
    <row r="12" spans="2:6" s="5" customFormat="1" ht="12.75">
      <c r="B12" s="54" t="s">
        <v>10</v>
      </c>
      <c r="C12" s="7">
        <f>+C10*0.85</f>
        <v>202215</v>
      </c>
      <c r="D12" s="8">
        <f>+C12*1.197</f>
        <v>242051.355</v>
      </c>
      <c r="E12" s="9">
        <f>+D12/C12-1</f>
        <v>0.19700000000000006</v>
      </c>
      <c r="F12" s="10">
        <f aca="true" t="shared" si="1" ref="F12:F33">+D12-C12</f>
        <v>39836.35500000001</v>
      </c>
    </row>
    <row r="13" spans="2:6" s="5" customFormat="1" ht="12.75">
      <c r="B13" s="14" t="str">
        <f>+B$5</f>
        <v>% vn</v>
      </c>
      <c r="C13" s="15">
        <f>+C12/C$10</f>
        <v>0.85</v>
      </c>
      <c r="D13" s="15">
        <f>+D12/D$10</f>
        <v>0.8814037236140227</v>
      </c>
      <c r="E13" s="16"/>
      <c r="F13" s="17">
        <f t="shared" si="1"/>
        <v>0.03140372361402277</v>
      </c>
    </row>
    <row r="14" spans="2:6" ht="12.75">
      <c r="B14" s="37" t="s">
        <v>11</v>
      </c>
      <c r="C14" s="38">
        <f>+C10-C12</f>
        <v>35685</v>
      </c>
      <c r="D14" s="38">
        <f>+D10-D12</f>
        <v>32568.944999999978</v>
      </c>
      <c r="E14" s="39">
        <f>+D14/C14-1</f>
        <v>-0.08732114333753738</v>
      </c>
      <c r="F14" s="40">
        <f t="shared" si="1"/>
        <v>-3116.055000000022</v>
      </c>
    </row>
    <row r="15" spans="2:6" ht="12.75">
      <c r="B15" s="42" t="str">
        <f>+B$5</f>
        <v>% vn</v>
      </c>
      <c r="C15" s="43">
        <f>+C14/C$10</f>
        <v>0.15</v>
      </c>
      <c r="D15" s="43">
        <f>+D14/D$10</f>
        <v>0.11859627638597722</v>
      </c>
      <c r="E15" s="44"/>
      <c r="F15" s="45">
        <f t="shared" si="1"/>
        <v>-0.03140372361402277</v>
      </c>
    </row>
    <row r="16" spans="2:6" ht="12.75">
      <c r="B16" s="54" t="s">
        <v>12</v>
      </c>
      <c r="C16" s="19">
        <f>+C10*0.1</f>
        <v>23790</v>
      </c>
      <c r="D16" s="20">
        <f>+C16*1.21</f>
        <v>28785.899999999998</v>
      </c>
      <c r="E16" s="21">
        <f>+D16/C16-1</f>
        <v>0.20999999999999996</v>
      </c>
      <c r="F16" s="22">
        <f t="shared" si="1"/>
        <v>4995.899999999998</v>
      </c>
    </row>
    <row r="17" spans="2:6" ht="12.75">
      <c r="B17" s="14" t="str">
        <f>+B$5</f>
        <v>% vn</v>
      </c>
      <c r="C17" s="15">
        <f>+C16/C$10</f>
        <v>0.1</v>
      </c>
      <c r="D17" s="15">
        <f>+D16/D$10</f>
        <v>0.10482072883905523</v>
      </c>
      <c r="E17" s="16"/>
      <c r="F17" s="17">
        <f t="shared" si="1"/>
        <v>0.004820728839055224</v>
      </c>
    </row>
    <row r="18" spans="2:6" ht="12.75">
      <c r="B18" s="54" t="s">
        <v>13</v>
      </c>
      <c r="C18" s="19">
        <f>+C10*0.03</f>
        <v>7137</v>
      </c>
      <c r="D18" s="20">
        <f>+C18*1.123</f>
        <v>8014.851</v>
      </c>
      <c r="E18" s="21">
        <f>+D18/C18-1</f>
        <v>0.123</v>
      </c>
      <c r="F18" s="22">
        <f t="shared" si="1"/>
        <v>877.8509999999997</v>
      </c>
    </row>
    <row r="19" spans="2:6" ht="12.75">
      <c r="B19" s="25" t="str">
        <f>+B$5</f>
        <v>% vn</v>
      </c>
      <c r="C19" s="46">
        <f>+C18/C$10</f>
        <v>0.03</v>
      </c>
      <c r="D19" s="46">
        <f>+D18/D$10</f>
        <v>0.02918520954204769</v>
      </c>
      <c r="E19" s="21"/>
      <c r="F19" s="47">
        <f t="shared" si="1"/>
        <v>-0.0008147904579523073</v>
      </c>
    </row>
    <row r="20" spans="2:6" ht="12.75">
      <c r="B20" s="29" t="s">
        <v>14</v>
      </c>
      <c r="C20" s="30">
        <f>+C14-C16-C18</f>
        <v>4758</v>
      </c>
      <c r="D20" s="30">
        <f>+D14-D16-D18</f>
        <v>-4231.80600000002</v>
      </c>
      <c r="E20" s="31">
        <f>+D20/C20-1</f>
        <v>-1.88940857503153</v>
      </c>
      <c r="F20" s="32">
        <f t="shared" si="1"/>
        <v>-8989.806000000019</v>
      </c>
    </row>
    <row r="21" spans="2:6" ht="12.75">
      <c r="B21" s="33" t="str">
        <f>+B$5</f>
        <v>% vn</v>
      </c>
      <c r="C21" s="34">
        <f>+C20/C$10</f>
        <v>0.02</v>
      </c>
      <c r="D21" s="34">
        <f>+D20/D$10</f>
        <v>-0.015409661995125706</v>
      </c>
      <c r="E21" s="35"/>
      <c r="F21" s="36">
        <f t="shared" si="1"/>
        <v>-0.035409661995125706</v>
      </c>
    </row>
    <row r="22" spans="2:6" ht="12.75">
      <c r="B22" s="54" t="s">
        <v>15</v>
      </c>
      <c r="C22" s="19">
        <f>+C10*1.5%</f>
        <v>3568.5</v>
      </c>
      <c r="D22" s="20">
        <f>+C22*1.1</f>
        <v>3925.3500000000004</v>
      </c>
      <c r="E22" s="21">
        <f>+D22/C22-1</f>
        <v>0.10000000000000009</v>
      </c>
      <c r="F22" s="22">
        <f t="shared" si="1"/>
        <v>356.85000000000036</v>
      </c>
    </row>
    <row r="23" spans="2:6" ht="12.75">
      <c r="B23" s="14" t="str">
        <f>+B$5</f>
        <v>% vn</v>
      </c>
      <c r="C23" s="15">
        <f>+C22/C$10</f>
        <v>0.015</v>
      </c>
      <c r="D23" s="15">
        <f>+D22/D$10</f>
        <v>0.014293735750780261</v>
      </c>
      <c r="E23" s="16"/>
      <c r="F23" s="17">
        <f t="shared" si="1"/>
        <v>-0.0007062642492197384</v>
      </c>
    </row>
    <row r="24" spans="2:6" ht="12.75">
      <c r="B24" s="18" t="s">
        <v>16</v>
      </c>
      <c r="C24" s="19">
        <v>6780</v>
      </c>
      <c r="D24" s="20">
        <f>+C24*1.05</f>
        <v>7119</v>
      </c>
      <c r="E24" s="21">
        <f>+D24/C24-1</f>
        <v>0.050000000000000044</v>
      </c>
      <c r="F24" s="22">
        <f t="shared" si="1"/>
        <v>339</v>
      </c>
    </row>
    <row r="25" spans="2:6" ht="12.75">
      <c r="B25" s="14" t="str">
        <f>+B$5</f>
        <v>% vn</v>
      </c>
      <c r="C25" s="48">
        <f>+C24/C$10</f>
        <v>0.02849936948297604</v>
      </c>
      <c r="D25" s="48">
        <f>+D24/D$10</f>
        <v>0.025923065410677945</v>
      </c>
      <c r="E25" s="16"/>
      <c r="F25" s="17">
        <f t="shared" si="1"/>
        <v>-0.002576304072298096</v>
      </c>
    </row>
    <row r="26" spans="2:6" ht="12.75">
      <c r="B26" s="18" t="s">
        <v>17</v>
      </c>
      <c r="C26" s="19">
        <f>+C10*1.1%</f>
        <v>2616.9</v>
      </c>
      <c r="D26" s="20">
        <f>+C26*1.056</f>
        <v>2763.4464000000003</v>
      </c>
      <c r="E26" s="21">
        <f>+D26/C26-1</f>
        <v>0.05600000000000005</v>
      </c>
      <c r="F26" s="22">
        <f t="shared" si="1"/>
        <v>146.54640000000018</v>
      </c>
    </row>
    <row r="27" spans="2:6" ht="12.75">
      <c r="B27" s="14" t="str">
        <f>+B$5</f>
        <v>% vn</v>
      </c>
      <c r="C27" s="48">
        <f>+C26/C$10</f>
        <v>0.011000000000000001</v>
      </c>
      <c r="D27" s="48">
        <f>+D26/D$10</f>
        <v>0.010062789968549304</v>
      </c>
      <c r="E27" s="16"/>
      <c r="F27" s="17">
        <f t="shared" si="1"/>
        <v>-0.000937210031450697</v>
      </c>
    </row>
    <row r="28" spans="2:6" ht="12.75">
      <c r="B28" s="37" t="s">
        <v>18</v>
      </c>
      <c r="C28" s="38">
        <f>+C20-C22+C24-C26</f>
        <v>5352.6</v>
      </c>
      <c r="D28" s="38">
        <f>+D20-D22+D24-D26</f>
        <v>-3801.60240000002</v>
      </c>
      <c r="E28" s="39">
        <f>+D28/C28-1</f>
        <v>-1.7102347270485407</v>
      </c>
      <c r="F28" s="40">
        <f t="shared" si="1"/>
        <v>-9154.20240000002</v>
      </c>
    </row>
    <row r="29" spans="2:6" ht="12.75">
      <c r="B29" s="42" t="str">
        <f>+B$5</f>
        <v>% vn</v>
      </c>
      <c r="C29" s="43">
        <f>+C28/C$10</f>
        <v>0.022499369482976043</v>
      </c>
      <c r="D29" s="43">
        <f>+D28/D$10</f>
        <v>-0.013843122303777326</v>
      </c>
      <c r="E29" s="44"/>
      <c r="F29" s="45">
        <f t="shared" si="1"/>
        <v>-0.03634249178675337</v>
      </c>
    </row>
    <row r="30" spans="2:6" ht="12.75">
      <c r="B30" s="18" t="s">
        <v>19</v>
      </c>
      <c r="C30" s="49">
        <f>+C28*0.35</f>
        <v>1873.41</v>
      </c>
      <c r="D30" s="49">
        <f>+D28*0.35</f>
        <v>-1330.560840000007</v>
      </c>
      <c r="E30" s="21">
        <f>+D30/C30-1</f>
        <v>-1.7102347270485407</v>
      </c>
      <c r="F30" s="22">
        <f t="shared" si="1"/>
        <v>-3203.9708400000072</v>
      </c>
    </row>
    <row r="31" spans="2:6" ht="12.75">
      <c r="B31" s="14" t="str">
        <f>+B$5</f>
        <v>% vn</v>
      </c>
      <c r="C31" s="15">
        <f>+C30/C$10</f>
        <v>0.007874779319041614</v>
      </c>
      <c r="D31" s="15">
        <f>+D30/D$10</f>
        <v>-0.004845092806322063</v>
      </c>
      <c r="E31" s="16"/>
      <c r="F31" s="17">
        <f t="shared" si="1"/>
        <v>-0.012719872125363678</v>
      </c>
    </row>
    <row r="32" spans="2:6" ht="12.75">
      <c r="B32" s="29" t="s">
        <v>20</v>
      </c>
      <c r="C32" s="30">
        <f>+C28-C30</f>
        <v>3479.1900000000005</v>
      </c>
      <c r="D32" s="30">
        <f>+D28-D30</f>
        <v>-2471.0415600000133</v>
      </c>
      <c r="E32" s="31">
        <f>+D32/C32-1</f>
        <v>-1.7102347270485407</v>
      </c>
      <c r="F32" s="32">
        <f t="shared" si="1"/>
        <v>-5950.231560000014</v>
      </c>
    </row>
    <row r="33" spans="2:6" ht="12.75">
      <c r="B33" s="33" t="str">
        <f>+B$5</f>
        <v>% vn</v>
      </c>
      <c r="C33" s="34">
        <f>+C32/C$10</f>
        <v>0.014624590163934428</v>
      </c>
      <c r="D33" s="34">
        <f>+D32/D$10</f>
        <v>-0.008998029497455262</v>
      </c>
      <c r="E33" s="35"/>
      <c r="F33" s="36">
        <f t="shared" si="1"/>
        <v>-0.02362261966138969</v>
      </c>
    </row>
    <row r="34" ht="12.75">
      <c r="C34" s="1"/>
    </row>
  </sheetData>
  <printOptions horizontalCentered="1" verticalCentered="1"/>
  <pageMargins left="0.75" right="0.75" top="1" bottom="1" header="0" footer="0"/>
  <pageSetup fitToHeight="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workbookViewId="0" topLeftCell="A1">
      <pane ySplit="1" topLeftCell="BM2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4.7109375" style="0" customWidth="1"/>
    <col min="2" max="2" width="20.140625" style="0" customWidth="1"/>
    <col min="3" max="3" width="8.57421875" style="0" customWidth="1"/>
    <col min="4" max="4" width="10.8515625" style="0" customWidth="1"/>
    <col min="5" max="5" width="1.8515625" style="0" customWidth="1"/>
    <col min="6" max="6" width="8.140625" style="0" bestFit="1" customWidth="1"/>
    <col min="7" max="7" width="8.140625" style="0" customWidth="1"/>
    <col min="8" max="8" width="2.57421875" style="0" customWidth="1"/>
    <col min="9" max="9" width="8.7109375" style="0" customWidth="1"/>
    <col min="10" max="10" width="7.140625" style="0" bestFit="1" customWidth="1"/>
    <col min="11" max="11" width="2.57421875" style="0" customWidth="1"/>
  </cols>
  <sheetData>
    <row r="1" spans="3:11" ht="12.75">
      <c r="C1" s="55" t="s">
        <v>1</v>
      </c>
      <c r="D1" s="55" t="s">
        <v>21</v>
      </c>
      <c r="E1" s="3"/>
      <c r="F1" s="55" t="s">
        <v>2</v>
      </c>
      <c r="G1" s="55" t="str">
        <f>+D1</f>
        <v>% Part</v>
      </c>
      <c r="H1" s="3"/>
      <c r="I1" s="55" t="s">
        <v>3</v>
      </c>
      <c r="J1" s="55" t="s">
        <v>4</v>
      </c>
      <c r="K1" s="3"/>
    </row>
    <row r="2" spans="5:11" ht="12.75">
      <c r="E2" s="4"/>
      <c r="H2" s="4"/>
      <c r="K2" s="4"/>
    </row>
    <row r="3" spans="2:11" ht="12.75">
      <c r="B3" s="56" t="s">
        <v>22</v>
      </c>
      <c r="C3" s="51"/>
      <c r="D3" s="57"/>
      <c r="E3" s="11"/>
      <c r="F3" s="51"/>
      <c r="G3" s="57"/>
      <c r="H3" s="11"/>
      <c r="I3" s="58">
        <v>0.017</v>
      </c>
      <c r="J3" s="10"/>
      <c r="K3" s="11"/>
    </row>
    <row r="4" spans="2:11" ht="12.75">
      <c r="B4" s="25" t="s">
        <v>23</v>
      </c>
      <c r="C4" s="49"/>
      <c r="D4" s="59"/>
      <c r="E4" s="11"/>
      <c r="F4" s="50"/>
      <c r="G4" s="59"/>
      <c r="H4" s="11"/>
      <c r="I4" s="60">
        <v>0.013</v>
      </c>
      <c r="J4" s="22"/>
      <c r="K4" s="11"/>
    </row>
    <row r="5" spans="2:11" ht="12.75">
      <c r="B5" s="25" t="s">
        <v>24</v>
      </c>
      <c r="C5" s="49"/>
      <c r="D5" s="59"/>
      <c r="E5" s="11"/>
      <c r="F5" s="50"/>
      <c r="G5" s="59"/>
      <c r="H5" s="11"/>
      <c r="I5" s="60">
        <v>0.067</v>
      </c>
      <c r="J5" s="22"/>
      <c r="K5" s="11"/>
    </row>
    <row r="6" spans="2:11" ht="12.75">
      <c r="B6" s="25" t="s">
        <v>25</v>
      </c>
      <c r="C6" s="49">
        <v>2300</v>
      </c>
      <c r="D6" s="59"/>
      <c r="E6" s="11"/>
      <c r="F6" s="50">
        <v>2600</v>
      </c>
      <c r="G6" s="59"/>
      <c r="H6" s="11"/>
      <c r="I6" s="60">
        <f>+F6/C6-1</f>
        <v>0.13043478260869557</v>
      </c>
      <c r="J6" s="22"/>
      <c r="K6" s="11"/>
    </row>
    <row r="7" spans="2:11" ht="12.75">
      <c r="B7" s="61" t="s">
        <v>26</v>
      </c>
      <c r="C7" s="62">
        <v>2150</v>
      </c>
      <c r="D7" s="63"/>
      <c r="E7" s="11"/>
      <c r="F7" s="62">
        <v>2500</v>
      </c>
      <c r="G7" s="63"/>
      <c r="H7" s="11"/>
      <c r="I7" s="64">
        <f>+F7/C7-1</f>
        <v>0.16279069767441867</v>
      </c>
      <c r="J7" s="65"/>
      <c r="K7" s="11"/>
    </row>
    <row r="8" spans="5:11" ht="5.25" customHeight="1">
      <c r="E8" s="4"/>
      <c r="H8" s="4"/>
      <c r="K8" s="4"/>
    </row>
    <row r="9" spans="2:14" ht="12.75">
      <c r="B9" s="56" t="s">
        <v>30</v>
      </c>
      <c r="C9" s="12">
        <v>8000</v>
      </c>
      <c r="D9" s="66">
        <f>+C9/C12</f>
        <v>0.4444444444444444</v>
      </c>
      <c r="E9" s="11"/>
      <c r="F9" s="13">
        <f>+C9*1.05</f>
        <v>8400</v>
      </c>
      <c r="G9" s="66">
        <f>+F9/F12</f>
        <v>0.44327176781002636</v>
      </c>
      <c r="H9" s="11"/>
      <c r="I9" s="58">
        <f>IF(C9=0,0,F9/C9-1)</f>
        <v>0.050000000000000044</v>
      </c>
      <c r="J9" s="10">
        <f>+F9-C9</f>
        <v>400</v>
      </c>
      <c r="K9" s="11"/>
      <c r="L9" s="53"/>
      <c r="M9" s="53"/>
      <c r="N9" s="53"/>
    </row>
    <row r="10" spans="2:14" ht="12.75">
      <c r="B10" s="25" t="s">
        <v>32</v>
      </c>
      <c r="C10" s="23">
        <v>5000</v>
      </c>
      <c r="D10" s="47">
        <f>+C10/C12</f>
        <v>0.2777777777777778</v>
      </c>
      <c r="E10" s="11"/>
      <c r="F10" s="24">
        <f>+C10*1.08</f>
        <v>5400</v>
      </c>
      <c r="G10" s="47">
        <f>+F10/F12</f>
        <v>0.2849604221635884</v>
      </c>
      <c r="H10" s="11"/>
      <c r="I10" s="60">
        <f>IF(C10=0,0,F10/C10-1)</f>
        <v>0.08000000000000007</v>
      </c>
      <c r="J10" s="22">
        <f>+F10-C10</f>
        <v>400</v>
      </c>
      <c r="K10" s="11"/>
      <c r="L10" s="53"/>
      <c r="M10" s="53"/>
      <c r="N10" s="53"/>
    </row>
    <row r="11" spans="2:14" ht="12.75">
      <c r="B11" s="61" t="s">
        <v>31</v>
      </c>
      <c r="C11" s="67">
        <v>5000</v>
      </c>
      <c r="D11" s="28">
        <f>+C11/C12</f>
        <v>0.2777777777777778</v>
      </c>
      <c r="E11" s="11"/>
      <c r="F11" s="68">
        <f>+C11*1.03</f>
        <v>5150</v>
      </c>
      <c r="G11" s="28">
        <f>+F11/F12</f>
        <v>0.2717678100263852</v>
      </c>
      <c r="H11" s="11"/>
      <c r="I11" s="64">
        <f>IF(C11=0,0,F11/C11-1)</f>
        <v>0.030000000000000027</v>
      </c>
      <c r="J11" s="65">
        <f>+F11-C11</f>
        <v>150</v>
      </c>
      <c r="K11" s="11"/>
      <c r="L11" s="53"/>
      <c r="M11" s="53"/>
      <c r="N11" s="53"/>
    </row>
    <row r="12" spans="2:11" ht="12.75">
      <c r="B12" s="69" t="s">
        <v>27</v>
      </c>
      <c r="C12" s="70">
        <f>SUM(C9:C11)</f>
        <v>18000</v>
      </c>
      <c r="D12" s="71">
        <f>+C12/C12</f>
        <v>1</v>
      </c>
      <c r="E12" s="41"/>
      <c r="F12" s="72">
        <f>SUM(F9:F11)</f>
        <v>18950</v>
      </c>
      <c r="G12" s="71">
        <f>+F12/F12</f>
        <v>1</v>
      </c>
      <c r="H12" s="41"/>
      <c r="I12" s="73">
        <f>IF(C12=0,0,F12/C12-1)</f>
        <v>0.05277777777777781</v>
      </c>
      <c r="J12" s="74">
        <f>+F12-C12</f>
        <v>950</v>
      </c>
      <c r="K12" s="41"/>
    </row>
    <row r="13" spans="3:11" ht="4.5" customHeight="1">
      <c r="C13" s="5"/>
      <c r="D13" s="5"/>
      <c r="E13" s="75"/>
      <c r="F13" s="5"/>
      <c r="G13" s="5"/>
      <c r="H13" s="75"/>
      <c r="I13" s="5"/>
      <c r="J13" s="5"/>
      <c r="K13" s="75"/>
    </row>
    <row r="14" spans="2:11" ht="12.75">
      <c r="B14" s="56" t="str">
        <f>+B$9</f>
        <v>Linea Aseo</v>
      </c>
      <c r="C14" s="12">
        <v>4500</v>
      </c>
      <c r="D14" s="66">
        <f>+C14/C17-1</f>
        <v>0.10204081632653073</v>
      </c>
      <c r="E14" s="11"/>
      <c r="F14" s="13">
        <f>+C14*1.09</f>
        <v>4905</v>
      </c>
      <c r="G14" s="66">
        <f>+F14/F17-1</f>
        <v>0.12491830856368291</v>
      </c>
      <c r="H14" s="11"/>
      <c r="I14" s="58">
        <f>IF(C14=0,0,F14/C14-1)</f>
        <v>0.09000000000000008</v>
      </c>
      <c r="J14" s="10">
        <f>+F14-C14</f>
        <v>405</v>
      </c>
      <c r="K14" s="11"/>
    </row>
    <row r="15" spans="2:11" ht="12.75">
      <c r="B15" s="25" t="str">
        <f>+B$10</f>
        <v>Abarrotes</v>
      </c>
      <c r="C15" s="23">
        <v>4000</v>
      </c>
      <c r="D15" s="47">
        <f>+C15/C17-1</f>
        <v>-0.020408163265306034</v>
      </c>
      <c r="E15" s="11"/>
      <c r="F15" s="24">
        <f>+C15*1.05</f>
        <v>4200</v>
      </c>
      <c r="G15" s="47">
        <f>+F15/F17-1</f>
        <v>-0.036767197560149234</v>
      </c>
      <c r="H15" s="11"/>
      <c r="I15" s="60">
        <f>IF(C15=0,0,F15/C15-1)</f>
        <v>0.050000000000000044</v>
      </c>
      <c r="J15" s="22">
        <f>+F15-C15</f>
        <v>200</v>
      </c>
      <c r="K15" s="11"/>
    </row>
    <row r="16" spans="2:11" ht="12.75">
      <c r="B16" s="61" t="str">
        <f>+B$11</f>
        <v>Perecederos</v>
      </c>
      <c r="C16" s="67">
        <v>3500</v>
      </c>
      <c r="D16" s="28">
        <f>+C16/C17-1</f>
        <v>-0.1428571428571428</v>
      </c>
      <c r="E16" s="11"/>
      <c r="F16" s="68">
        <f>+C16*1.04</f>
        <v>3640</v>
      </c>
      <c r="G16" s="28">
        <f>+F16/F17-1</f>
        <v>-0.16519823788546273</v>
      </c>
      <c r="H16" s="11"/>
      <c r="I16" s="64">
        <f>IF(C16=0,0,F16/C16-1)</f>
        <v>0.040000000000000036</v>
      </c>
      <c r="J16" s="65">
        <f>+F16-C16</f>
        <v>140</v>
      </c>
      <c r="K16" s="11"/>
    </row>
    <row r="17" spans="2:11" ht="12.75">
      <c r="B17" s="69" t="s">
        <v>28</v>
      </c>
      <c r="C17" s="70">
        <f>+C22/C12*1000</f>
        <v>4083.333333333333</v>
      </c>
      <c r="D17" s="71">
        <f>+C17/C17-1</f>
        <v>0</v>
      </c>
      <c r="E17" s="41"/>
      <c r="F17" s="72">
        <f>+F22/F12*1000</f>
        <v>4360.316622691294</v>
      </c>
      <c r="G17" s="71">
        <f>+F17/F17-1</f>
        <v>0</v>
      </c>
      <c r="H17" s="41"/>
      <c r="I17" s="73">
        <f>IF(C17=0,0,F17/C17-1)</f>
        <v>0.06783264229174546</v>
      </c>
      <c r="J17" s="74">
        <f>+F17-C17</f>
        <v>276.98328935796053</v>
      </c>
      <c r="K17" s="41"/>
    </row>
    <row r="18" spans="3:11" ht="7.5" customHeight="1">
      <c r="C18" s="5"/>
      <c r="D18" s="5"/>
      <c r="E18" s="75"/>
      <c r="F18" s="5"/>
      <c r="G18" s="5"/>
      <c r="H18" s="75"/>
      <c r="I18" s="5"/>
      <c r="J18" s="5"/>
      <c r="K18" s="75"/>
    </row>
    <row r="19" spans="2:11" ht="12.75">
      <c r="B19" s="56" t="str">
        <f>+B$9</f>
        <v>Linea Aseo</v>
      </c>
      <c r="C19" s="51">
        <f>+C9*C14/1000</f>
        <v>36000</v>
      </c>
      <c r="D19" s="66">
        <f>+C19/C22</f>
        <v>0.4897959183673469</v>
      </c>
      <c r="E19" s="11"/>
      <c r="F19" s="51">
        <f>+F9*F14/1000</f>
        <v>41202</v>
      </c>
      <c r="G19" s="66">
        <f>+F19/F22</f>
        <v>0.4986445272788885</v>
      </c>
      <c r="H19" s="11"/>
      <c r="I19" s="58">
        <f>IF(C19=0,0,F19/C19-1)</f>
        <v>0.14450000000000007</v>
      </c>
      <c r="J19" s="10">
        <f>+F19-C19</f>
        <v>5202</v>
      </c>
      <c r="K19" s="11"/>
    </row>
    <row r="20" spans="2:11" ht="12.75">
      <c r="B20" s="25" t="str">
        <f>+B$10</f>
        <v>Abarrotes</v>
      </c>
      <c r="C20" s="50">
        <f>+C10*C15/1000</f>
        <v>20000</v>
      </c>
      <c r="D20" s="47">
        <f>+C20/C22</f>
        <v>0.272108843537415</v>
      </c>
      <c r="E20" s="11"/>
      <c r="F20" s="50">
        <f>+F10*F15/1000</f>
        <v>22680</v>
      </c>
      <c r="G20" s="47">
        <f>+F20/F22</f>
        <v>0.27448322602507624</v>
      </c>
      <c r="H20" s="11"/>
      <c r="I20" s="60">
        <f>IF(C20=0,0,F20/C20-1)</f>
        <v>0.1339999999999999</v>
      </c>
      <c r="J20" s="22">
        <f>+F20-C20</f>
        <v>2680</v>
      </c>
      <c r="K20" s="11"/>
    </row>
    <row r="21" spans="2:11" ht="12.75">
      <c r="B21" s="61" t="str">
        <f>+B$11</f>
        <v>Perecederos</v>
      </c>
      <c r="C21" s="62">
        <f>+C11*C16/1000</f>
        <v>17500</v>
      </c>
      <c r="D21" s="28">
        <f>+C21/C22</f>
        <v>0.23809523809523808</v>
      </c>
      <c r="E21" s="11"/>
      <c r="F21" s="62">
        <f>+F11*F16/1000</f>
        <v>18746</v>
      </c>
      <c r="G21" s="28">
        <f>+F21/F22</f>
        <v>0.22687224669603523</v>
      </c>
      <c r="H21" s="11"/>
      <c r="I21" s="64">
        <f>IF(C21=0,0,F21/C21-1)</f>
        <v>0.07119999999999993</v>
      </c>
      <c r="J21" s="65">
        <f>+F21-C21</f>
        <v>1246</v>
      </c>
      <c r="K21" s="11"/>
    </row>
    <row r="22" spans="2:11" ht="12.75">
      <c r="B22" s="52" t="s">
        <v>29</v>
      </c>
      <c r="C22" s="76">
        <f>SUM(C19:C21)</f>
        <v>73500</v>
      </c>
      <c r="D22" s="77">
        <f>+C22/C22</f>
        <v>1</v>
      </c>
      <c r="E22" s="41"/>
      <c r="F22" s="78">
        <f>SUM(F19:F21)</f>
        <v>82628</v>
      </c>
      <c r="G22" s="77">
        <f>+F22/F22</f>
        <v>1</v>
      </c>
      <c r="H22" s="41"/>
      <c r="I22" s="79">
        <f>IF(C22=0,0,F22/C22-1)</f>
        <v>0.12419047619047618</v>
      </c>
      <c r="J22" s="80">
        <f>+F22-C22</f>
        <v>9128</v>
      </c>
      <c r="K22" s="41"/>
    </row>
    <row r="23" spans="3:11" ht="12.75">
      <c r="C23" s="5"/>
      <c r="D23" s="5"/>
      <c r="E23" s="75"/>
      <c r="F23" s="5"/>
      <c r="G23" s="5"/>
      <c r="H23" s="75"/>
      <c r="I23" s="11"/>
      <c r="J23" s="5"/>
      <c r="K23" s="75"/>
    </row>
  </sheetData>
  <printOptions horizontalCentered="1" verticalCentered="1"/>
  <pageMargins left="0.75" right="0.75" top="1" bottom="1" header="0" footer="0"/>
  <pageSetup fitToHeight="1" fitToWidth="1"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"/>
  <sheetViews>
    <sheetView tabSelected="1" workbookViewId="0" topLeftCell="A1">
      <selection activeCell="C5" sqref="C5"/>
    </sheetView>
  </sheetViews>
  <sheetFormatPr defaultColWidth="11.421875" defaultRowHeight="12.75"/>
  <cols>
    <col min="1" max="1" width="3.421875" style="0" customWidth="1"/>
    <col min="2" max="2" width="14.7109375" style="0" customWidth="1"/>
    <col min="3" max="3" width="8.00390625" style="0" bestFit="1" customWidth="1"/>
    <col min="4" max="4" width="8.8515625" style="0" bestFit="1" customWidth="1"/>
    <col min="5" max="5" width="6.28125" style="0" bestFit="1" customWidth="1"/>
    <col min="6" max="6" width="8.8515625" style="0" bestFit="1" customWidth="1"/>
    <col min="7" max="7" width="7.421875" style="0" bestFit="1" customWidth="1"/>
    <col min="8" max="8" width="9.7109375" style="0" bestFit="1" customWidth="1"/>
    <col min="9" max="9" width="7.8515625" style="0" customWidth="1"/>
  </cols>
  <sheetData>
    <row r="2" spans="3:9" ht="12.75">
      <c r="C2" t="s">
        <v>39</v>
      </c>
      <c r="D2" t="s">
        <v>32</v>
      </c>
      <c r="E2" t="s">
        <v>40</v>
      </c>
      <c r="F2" t="s">
        <v>41</v>
      </c>
      <c r="G2" t="s">
        <v>36</v>
      </c>
      <c r="H2" t="s">
        <v>42</v>
      </c>
      <c r="I2" t="s">
        <v>38</v>
      </c>
    </row>
    <row r="3" spans="2:9" ht="12.75">
      <c r="B3" t="s">
        <v>37</v>
      </c>
      <c r="C3" s="85">
        <v>0.3</v>
      </c>
      <c r="D3" s="85">
        <v>0.2</v>
      </c>
      <c r="E3" s="85">
        <v>0.15</v>
      </c>
      <c r="F3" s="85">
        <v>0.08</v>
      </c>
      <c r="G3" s="85">
        <v>0.05</v>
      </c>
      <c r="H3" s="85">
        <f>1-SUM(C3:G3)</f>
        <v>0.21999999999999997</v>
      </c>
      <c r="I3" s="85">
        <f>SUM(C3:H3)</f>
        <v>1</v>
      </c>
    </row>
    <row r="5" spans="2:9" ht="12.75">
      <c r="B5" t="s">
        <v>33</v>
      </c>
      <c r="C5" s="81">
        <v>0.2</v>
      </c>
      <c r="D5" s="81">
        <v>0.2</v>
      </c>
      <c r="E5" s="81">
        <v>0.15</v>
      </c>
      <c r="F5" s="81">
        <v>0.16</v>
      </c>
      <c r="G5" s="81">
        <v>0.15</v>
      </c>
      <c r="H5" s="81">
        <v>0.08</v>
      </c>
      <c r="I5" s="86">
        <f>SUMPRODUCT(C3:H3,C5:H5)</f>
        <v>0.16040000000000001</v>
      </c>
    </row>
    <row r="6" spans="2:9" ht="12.75">
      <c r="B6" s="83" t="s">
        <v>34</v>
      </c>
      <c r="C6" s="84">
        <v>20</v>
      </c>
      <c r="D6" s="84">
        <v>10</v>
      </c>
      <c r="E6" s="84">
        <v>4</v>
      </c>
      <c r="F6" s="84">
        <v>4</v>
      </c>
      <c r="G6" s="84">
        <v>3</v>
      </c>
      <c r="H6" s="84">
        <v>8</v>
      </c>
      <c r="I6" s="87">
        <f>SUMPRODUCT(C3:H3,C6:H6)</f>
        <v>10.83</v>
      </c>
    </row>
    <row r="7" spans="2:9" ht="12.75">
      <c r="B7" t="s">
        <v>35</v>
      </c>
      <c r="C7" s="82">
        <f aca="true" t="shared" si="0" ref="C7:H7">+C5*12/((1-C5)*(C6/30))</f>
        <v>4.500000000000001</v>
      </c>
      <c r="D7" s="82">
        <f t="shared" si="0"/>
        <v>9.000000000000002</v>
      </c>
      <c r="E7" s="82">
        <f t="shared" si="0"/>
        <v>15.88235294117647</v>
      </c>
      <c r="F7" s="82">
        <f t="shared" si="0"/>
        <v>17.142857142857142</v>
      </c>
      <c r="G7" s="82">
        <f t="shared" si="0"/>
        <v>21.17647058823529</v>
      </c>
      <c r="H7" s="82">
        <f t="shared" si="0"/>
        <v>3.913043478260869</v>
      </c>
      <c r="I7" s="82">
        <f>SUMPRODUCT(C3:H3,C7:H7)</f>
        <v>8.823474607234198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Compañia de Galletas NOEL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almacen</cp:lastModifiedBy>
  <cp:lastPrinted>2003-10-07T21:41:46Z</cp:lastPrinted>
  <dcterms:created xsi:type="dcterms:W3CDTF">2003-07-22T15:08:08Z</dcterms:created>
  <dcterms:modified xsi:type="dcterms:W3CDTF">2006-10-26T13:52:37Z</dcterms:modified>
  <cp:category/>
  <cp:version/>
  <cp:contentType/>
  <cp:contentStatus/>
</cp:coreProperties>
</file>